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reese\Documents\Corp. Risk Mgmt\"/>
    </mc:Choice>
  </mc:AlternateContent>
  <bookViews>
    <workbookView xWindow="0" yWindow="0" windowWidth="21570" windowHeight="7635"/>
  </bookViews>
  <sheets>
    <sheet name="FAB Case" sheetId="2" r:id="rId1"/>
  </sheets>
  <definedNames>
    <definedName name="solver_adj" localSheetId="0" hidden="1">'FAB Case'!$H$5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'FAB Case'!$H$17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1081111463.47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H6" i="2" l="1"/>
  <c r="B6" i="2" l="1"/>
  <c r="B9" i="2"/>
  <c r="H2" i="2" s="1"/>
  <c r="B7" i="2"/>
  <c r="B12" i="2" l="1"/>
  <c r="H7" i="2" l="1"/>
  <c r="E3" i="2"/>
  <c r="E2" i="2"/>
  <c r="H4" i="2" l="1"/>
  <c r="E4" i="2"/>
  <c r="H3" i="2" l="1"/>
  <c r="H9" i="2" s="1"/>
  <c r="E6" i="2"/>
  <c r="H19" i="2" l="1"/>
  <c r="B14" i="2" s="1"/>
  <c r="B16" i="2" s="1"/>
  <c r="H10" i="2"/>
  <c r="H12" i="2"/>
  <c r="E25" i="2" l="1"/>
  <c r="E26" i="2"/>
  <c r="E24" i="2"/>
  <c r="B23" i="2"/>
  <c r="D23" i="2" s="1"/>
  <c r="H20" i="2"/>
  <c r="H22" i="2" s="1"/>
  <c r="H13" i="2"/>
  <c r="H15" i="2" s="1"/>
  <c r="H17" i="2" s="1"/>
  <c r="B24" i="2"/>
  <c r="D24" i="2" s="1"/>
  <c r="B26" i="2"/>
  <c r="D26" i="2" s="1"/>
  <c r="B25" i="2"/>
  <c r="D25" i="2" s="1"/>
  <c r="D27" i="2" l="1"/>
  <c r="E27" i="2"/>
  <c r="E29" i="2" l="1"/>
</calcChain>
</file>

<file path=xl/sharedStrings.xml><?xml version="1.0" encoding="utf-8"?>
<sst xmlns="http://schemas.openxmlformats.org/spreadsheetml/2006/main" count="54" uniqueCount="49">
  <si>
    <t>Short Put</t>
  </si>
  <si>
    <t>MV Debt</t>
  </si>
  <si>
    <t>FV Debt</t>
  </si>
  <si>
    <t>Mat Debt</t>
  </si>
  <si>
    <t>SA Coupons</t>
  </si>
  <si>
    <t>5 years</t>
  </si>
  <si>
    <t>YTM Debt</t>
  </si>
  <si>
    <t>Mkt Cap</t>
  </si>
  <si>
    <t>Firm Value</t>
  </si>
  <si>
    <t>Duration</t>
  </si>
  <si>
    <t>Settle</t>
  </si>
  <si>
    <t>Matur</t>
  </si>
  <si>
    <t>Coup Rate</t>
  </si>
  <si>
    <t>Existing Debt</t>
  </si>
  <si>
    <t>Convert to Zero-Coupon</t>
  </si>
  <si>
    <t>YTM</t>
  </si>
  <si>
    <t>PV</t>
  </si>
  <si>
    <t>Stock Price</t>
  </si>
  <si>
    <t>Exercise Price</t>
  </si>
  <si>
    <t>Risk-free Rate</t>
  </si>
  <si>
    <t>Volatility (sigma)</t>
  </si>
  <si>
    <t>Variance</t>
  </si>
  <si>
    <t>Time in Years</t>
  </si>
  <si>
    <t>d1</t>
  </si>
  <si>
    <t>d2</t>
  </si>
  <si>
    <t>N(d1)</t>
  </si>
  <si>
    <t>N(d2)</t>
  </si>
  <si>
    <t>Call Price</t>
  </si>
  <si>
    <t>Put Price</t>
  </si>
  <si>
    <t>N(-d1)</t>
  </si>
  <si>
    <t>N(-d2)</t>
  </si>
  <si>
    <t>Put Price (direct)</t>
  </si>
  <si>
    <t>Prob Default</t>
  </si>
  <si>
    <t>Expected Costs</t>
  </si>
  <si>
    <t>6 months</t>
  </si>
  <si>
    <t>12 months</t>
  </si>
  <si>
    <t>18 months</t>
  </si>
  <si>
    <t>24 months</t>
  </si>
  <si>
    <t>Rate</t>
  </si>
  <si>
    <t>Disc</t>
  </si>
  <si>
    <t xml:space="preserve">PV of </t>
  </si>
  <si>
    <t>Exp Costs</t>
  </si>
  <si>
    <t>PV of FAB's Exp</t>
  </si>
  <si>
    <t>Fee Payments</t>
  </si>
  <si>
    <t>f</t>
  </si>
  <si>
    <t>f=</t>
  </si>
  <si>
    <t>Black-Scholes Option Pricing Model</t>
  </si>
  <si>
    <t>Prob no default</t>
  </si>
  <si>
    <t>any 6 mo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</si>
</sst>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000000%"/>
    <numFmt numFmtId="167" formatCode="0.000000000%"/>
    <numFmt numFmtId="168" formatCode="0.0%"/>
    <numFmt numFmtId="169" formatCode="&quot;$&quot;#,##0.00"/>
    <numFmt numFmtId="170" formatCode="_(* #,##0.0000000_);_(* \(#,##0.0000000\);_(* &quot;-&quot;??_);_(@_)"/>
  </numFmts>
  <fonts count="3" x14ac:knownFonts="1">
    <font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44" fontId="0" fillId="0" borderId="0" xfId="1" applyFont="1"/>
    <xf numFmtId="164" fontId="0" fillId="0" borderId="0" xfId="1" applyNumberFormat="1" applyFont="1"/>
    <xf numFmtId="10" fontId="0" fillId="0" borderId="0" xfId="2" applyNumberFormat="1" applyFont="1"/>
    <xf numFmtId="8" fontId="0" fillId="0" borderId="0" xfId="0" applyNumberFormat="1"/>
    <xf numFmtId="10" fontId="0" fillId="0" borderId="0" xfId="0" applyNumberFormat="1"/>
    <xf numFmtId="166" fontId="0" fillId="0" borderId="0" xfId="0" applyNumberFormat="1"/>
    <xf numFmtId="167" fontId="0" fillId="0" borderId="0" xfId="0" applyNumberFormat="1"/>
    <xf numFmtId="165" fontId="0" fillId="0" borderId="0" xfId="2" applyNumberFormat="1" applyFont="1"/>
    <xf numFmtId="164" fontId="0" fillId="0" borderId="0" xfId="0" applyNumberFormat="1"/>
    <xf numFmtId="0" fontId="2" fillId="0" borderId="0" xfId="0" applyFont="1"/>
    <xf numFmtId="169" fontId="0" fillId="0" borderId="0" xfId="0" applyNumberFormat="1"/>
    <xf numFmtId="168" fontId="0" fillId="0" borderId="1" xfId="2" applyNumberFormat="1" applyFont="1" applyBorder="1"/>
    <xf numFmtId="168" fontId="0" fillId="0" borderId="0" xfId="2" applyNumberFormat="1" applyFont="1" applyBorder="1"/>
    <xf numFmtId="170" fontId="0" fillId="0" borderId="0" xfId="3" applyNumberFormat="1" applyFont="1"/>
    <xf numFmtId="0" fontId="0" fillId="0" borderId="2" xfId="0" applyBorder="1" applyAlignment="1">
      <alignment horizontal="right"/>
    </xf>
    <xf numFmtId="44" fontId="0" fillId="0" borderId="3" xfId="1" applyFont="1" applyBorder="1"/>
    <xf numFmtId="0" fontId="2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sqref="A1:B1"/>
    </sheetView>
  </sheetViews>
  <sheetFormatPr defaultRowHeight="31.5" x14ac:dyDescent="0.5"/>
  <cols>
    <col min="1" max="1" width="13.25" customWidth="1"/>
    <col min="2" max="2" width="15.5625" customWidth="1"/>
    <col min="3" max="3" width="6.625" customWidth="1"/>
    <col min="4" max="4" width="9.5" customWidth="1"/>
    <col min="5" max="5" width="17.0625" bestFit="1" customWidth="1"/>
    <col min="6" max="6" width="2.0625" customWidth="1"/>
    <col min="7" max="7" width="14.5" bestFit="1" customWidth="1"/>
    <col min="8" max="8" width="16.8125" bestFit="1" customWidth="1"/>
    <col min="9" max="9" width="1.5625" customWidth="1"/>
    <col min="10" max="10" width="17" customWidth="1"/>
  </cols>
  <sheetData>
    <row r="1" spans="1:10" x14ac:dyDescent="0.5">
      <c r="A1" s="18" t="s">
        <v>13</v>
      </c>
      <c r="B1" s="18"/>
      <c r="D1" s="18" t="s">
        <v>14</v>
      </c>
      <c r="E1" s="18"/>
      <c r="G1" s="18" t="s">
        <v>46</v>
      </c>
      <c r="H1" s="18"/>
      <c r="J1" s="2"/>
    </row>
    <row r="2" spans="1:10" x14ac:dyDescent="0.5">
      <c r="A2" t="s">
        <v>1</v>
      </c>
      <c r="B2" s="3">
        <v>4100000000</v>
      </c>
      <c r="D2" t="s">
        <v>2</v>
      </c>
      <c r="E2" s="5">
        <f>FV(B7/2,B12*2,,-B2)</f>
        <v>6256885407.1325951</v>
      </c>
      <c r="G2" t="s">
        <v>17</v>
      </c>
      <c r="H2" s="12">
        <f>B9</f>
        <v>10900000000</v>
      </c>
    </row>
    <row r="3" spans="1:10" x14ac:dyDescent="0.5">
      <c r="A3" t="s">
        <v>2</v>
      </c>
      <c r="B3" s="3">
        <v>5000000000</v>
      </c>
      <c r="D3" t="s">
        <v>15</v>
      </c>
      <c r="E3" s="9">
        <f>(4.51%-4.22%)*(B12-4)+4.22%</f>
        <v>4.3355685551224751E-2</v>
      </c>
      <c r="G3" t="s">
        <v>18</v>
      </c>
      <c r="H3" s="12">
        <f>E4</f>
        <v>5181111463.4724751</v>
      </c>
    </row>
    <row r="4" spans="1:10" x14ac:dyDescent="0.5">
      <c r="A4" t="s">
        <v>3</v>
      </c>
      <c r="B4" s="3" t="s">
        <v>5</v>
      </c>
      <c r="D4" t="s">
        <v>16</v>
      </c>
      <c r="E4" s="5">
        <f>-PV(E3/2,B12*2,,E2)</f>
        <v>5181111463.4724751</v>
      </c>
      <c r="G4" t="s">
        <v>19</v>
      </c>
      <c r="H4" s="8">
        <f>E3</f>
        <v>4.3355685551224751E-2</v>
      </c>
    </row>
    <row r="5" spans="1:10" x14ac:dyDescent="0.5">
      <c r="A5" t="s">
        <v>4</v>
      </c>
      <c r="B5" s="3">
        <v>130000000</v>
      </c>
      <c r="G5" t="s">
        <v>20</v>
      </c>
      <c r="H5" s="7">
        <v>0.61706768759606923</v>
      </c>
    </row>
    <row r="6" spans="1:10" x14ac:dyDescent="0.5">
      <c r="A6" t="s">
        <v>12</v>
      </c>
      <c r="B6" s="4">
        <f>B5*2/B3</f>
        <v>5.1999999999999998E-2</v>
      </c>
      <c r="D6" t="s">
        <v>0</v>
      </c>
      <c r="E6" s="5">
        <f>E4-B2</f>
        <v>1081111463.4724751</v>
      </c>
      <c r="G6" t="s">
        <v>21</v>
      </c>
      <c r="H6">
        <f>H5^2</f>
        <v>0.38077253107516007</v>
      </c>
    </row>
    <row r="7" spans="1:10" x14ac:dyDescent="0.5">
      <c r="A7" t="s">
        <v>6</v>
      </c>
      <c r="B7" s="6">
        <f>RATE(10,B5,-B2,B3)*2</f>
        <v>9.8445877463983367E-2</v>
      </c>
      <c r="G7" t="s">
        <v>22</v>
      </c>
      <c r="H7">
        <f>B12</f>
        <v>4.3985122590430192</v>
      </c>
    </row>
    <row r="8" spans="1:10" x14ac:dyDescent="0.5">
      <c r="A8" t="s">
        <v>7</v>
      </c>
      <c r="B8" s="3">
        <v>6800000000</v>
      </c>
    </row>
    <row r="9" spans="1:10" x14ac:dyDescent="0.5">
      <c r="A9" t="s">
        <v>8</v>
      </c>
      <c r="B9" s="10">
        <f>B2+B8</f>
        <v>10900000000</v>
      </c>
      <c r="G9" t="s">
        <v>23</v>
      </c>
      <c r="H9">
        <f>(LN(H2/H3)+(H4+0.5*H6)*H7)/SQRT(H6*H7)</f>
        <v>1.3691268936290069</v>
      </c>
    </row>
    <row r="10" spans="1:10" x14ac:dyDescent="0.5">
      <c r="A10" t="s">
        <v>10</v>
      </c>
      <c r="B10" s="1">
        <v>36526</v>
      </c>
      <c r="G10" t="s">
        <v>24</v>
      </c>
      <c r="H10">
        <f>H9-SQRT(H6*H7)</f>
        <v>7.4973639241826318E-2</v>
      </c>
    </row>
    <row r="11" spans="1:10" x14ac:dyDescent="0.5">
      <c r="A11" t="s">
        <v>11</v>
      </c>
      <c r="B11" s="1">
        <v>38353</v>
      </c>
    </row>
    <row r="12" spans="1:10" x14ac:dyDescent="0.5">
      <c r="A12" t="s">
        <v>9</v>
      </c>
      <c r="B12">
        <f>DURATION(B10,B11,B6,B7,2)</f>
        <v>4.3985122590430192</v>
      </c>
      <c r="G12" t="s">
        <v>25</v>
      </c>
      <c r="H12">
        <f>NORMSDIST(H9)</f>
        <v>0.91452019348371127</v>
      </c>
    </row>
    <row r="13" spans="1:10" x14ac:dyDescent="0.5">
      <c r="G13" t="s">
        <v>26</v>
      </c>
      <c r="H13">
        <f>NORMSDIST(H10)</f>
        <v>0.52988215715743014</v>
      </c>
    </row>
    <row r="14" spans="1:10" x14ac:dyDescent="0.5">
      <c r="A14" t="s">
        <v>32</v>
      </c>
      <c r="B14" s="9">
        <f>H19</f>
        <v>8.5479806516288698E-2</v>
      </c>
    </row>
    <row r="15" spans="1:10" x14ac:dyDescent="0.5">
      <c r="A15" t="s">
        <v>47</v>
      </c>
      <c r="G15" t="s">
        <v>27</v>
      </c>
      <c r="H15" s="12">
        <f>H2*H12-H3*EXP(-H4*H7)*H13</f>
        <v>7699544098.7866955</v>
      </c>
    </row>
    <row r="16" spans="1:10" x14ac:dyDescent="0.5">
      <c r="A16" t="s">
        <v>48</v>
      </c>
      <c r="B16" s="13">
        <f>(1-B14)^(1/10)</f>
        <v>0.99110423059343478</v>
      </c>
    </row>
    <row r="17" spans="1:8" x14ac:dyDescent="0.5">
      <c r="B17" s="14"/>
      <c r="G17" t="s">
        <v>28</v>
      </c>
      <c r="H17" s="12">
        <f>H15-H2+H3*EXP(-H4*H7)</f>
        <v>1081111197.3212261</v>
      </c>
    </row>
    <row r="18" spans="1:8" x14ac:dyDescent="0.5">
      <c r="B18" s="14"/>
    </row>
    <row r="19" spans="1:8" x14ac:dyDescent="0.5">
      <c r="B19" s="14"/>
      <c r="G19" t="s">
        <v>29</v>
      </c>
      <c r="H19">
        <f>NORMSDIST(-H9)</f>
        <v>8.5479806516288698E-2</v>
      </c>
    </row>
    <row r="20" spans="1:8" x14ac:dyDescent="0.5">
      <c r="B20" s="14"/>
      <c r="G20" t="s">
        <v>30</v>
      </c>
      <c r="H20">
        <f>NORMSDIST(-H10)</f>
        <v>0.47011784284256986</v>
      </c>
    </row>
    <row r="21" spans="1:8" x14ac:dyDescent="0.5">
      <c r="C21" s="11" t="s">
        <v>39</v>
      </c>
      <c r="D21" s="11" t="s">
        <v>40</v>
      </c>
      <c r="E21" s="11" t="s">
        <v>42</v>
      </c>
    </row>
    <row r="22" spans="1:8" x14ac:dyDescent="0.5">
      <c r="B22" s="11" t="s">
        <v>33</v>
      </c>
      <c r="C22" s="11" t="s">
        <v>38</v>
      </c>
      <c r="D22" s="11" t="s">
        <v>41</v>
      </c>
      <c r="E22" s="11" t="s">
        <v>43</v>
      </c>
      <c r="G22" t="s">
        <v>31</v>
      </c>
      <c r="H22" s="12">
        <f>-H2*H19+H3*EXP(-H4*H7)*H20</f>
        <v>1081111197.3212276</v>
      </c>
    </row>
    <row r="23" spans="1:8" x14ac:dyDescent="0.5">
      <c r="A23" t="s">
        <v>34</v>
      </c>
      <c r="B23" s="3">
        <f>9000000*(1-B16)</f>
        <v>80061.924659087017</v>
      </c>
      <c r="C23" s="6">
        <v>1.47E-2</v>
      </c>
      <c r="D23" s="3">
        <f>B23/(1+C23/2)^1</f>
        <v>79477.76310029981</v>
      </c>
      <c r="E23" s="15">
        <f>1/(1+C23/2)^1</f>
        <v>0.99270362833176162</v>
      </c>
      <c r="F23" t="s">
        <v>44</v>
      </c>
    </row>
    <row r="24" spans="1:8" x14ac:dyDescent="0.5">
      <c r="A24" t="s">
        <v>35</v>
      </c>
      <c r="B24" s="3">
        <f>9000000*B16*(1-B16)</f>
        <v>79349.712239073982</v>
      </c>
      <c r="C24" s="6">
        <v>2.1399999999999999E-2</v>
      </c>
      <c r="D24" s="3">
        <f>B24/(1+C24/2)^2</f>
        <v>77678.498950195004</v>
      </c>
      <c r="E24" s="15">
        <f>1/(1+C24/2)^2*B16</f>
        <v>0.97023022218063182</v>
      </c>
      <c r="F24" t="s">
        <v>44</v>
      </c>
    </row>
    <row r="25" spans="1:8" x14ac:dyDescent="0.5">
      <c r="A25" t="s">
        <v>36</v>
      </c>
      <c r="B25" s="3">
        <f>9000000*B16^2*(1-B16)</f>
        <v>78643.835496517859</v>
      </c>
      <c r="C25" s="6">
        <v>2.6700000000000002E-2</v>
      </c>
      <c r="D25" s="3">
        <f>B25/(1+C25/2)^3</f>
        <v>75576.412122946698</v>
      </c>
      <c r="E25" s="15">
        <f>1/(1+C25/2)^3*B16^2</f>
        <v>0.94397446032880006</v>
      </c>
      <c r="F25" t="s">
        <v>44</v>
      </c>
    </row>
    <row r="26" spans="1:8" x14ac:dyDescent="0.5">
      <c r="A26" t="s">
        <v>37</v>
      </c>
      <c r="B26" s="3">
        <f>9000000*B16^3*(1-B16)</f>
        <v>77944.238070692998</v>
      </c>
      <c r="C26" s="6">
        <v>3.2000000000000001E-2</v>
      </c>
      <c r="D26" s="3">
        <f>B26/(1+C26/2)^4</f>
        <v>73149.133207505831</v>
      </c>
      <c r="E26" s="15">
        <f>1/(1+C26/2)^4*B16^3</f>
        <v>0.91365694141108078</v>
      </c>
      <c r="F26" t="s">
        <v>44</v>
      </c>
    </row>
    <row r="27" spans="1:8" x14ac:dyDescent="0.5">
      <c r="D27" s="10">
        <f>SUM(D23:D26)</f>
        <v>305881.80738094734</v>
      </c>
      <c r="E27" s="15">
        <f>SUM(E23:E26)</f>
        <v>3.8205652522522739</v>
      </c>
      <c r="F27" t="s">
        <v>44</v>
      </c>
    </row>
    <row r="29" spans="1:8" x14ac:dyDescent="0.5">
      <c r="D29" s="16" t="s">
        <v>45</v>
      </c>
      <c r="E29" s="17">
        <f>D27/E27</f>
        <v>80061.924659087017</v>
      </c>
    </row>
  </sheetData>
  <mergeCells count="3">
    <mergeCell ref="G1:H1"/>
    <mergeCell ref="D1:E1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FAB Case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and Carol Reese</dc:creator>
  <cp:lastModifiedBy>wreese</cp:lastModifiedBy>
  <cp:lastPrinted>2017-06-22T16:34:49Z</cp:lastPrinted>
  <dcterms:created xsi:type="dcterms:W3CDTF">2017-06-22T15:25:07Z</dcterms:created>
  <dcterms:modified xsi:type="dcterms:W3CDTF">2019-05-21T16:23:18Z</dcterms:modified>
</cp:coreProperties>
</file>