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Assignments\"/>
    </mc:Choice>
  </mc:AlternateContent>
  <xr:revisionPtr revIDLastSave="0" documentId="8_{795F61E4-1704-42BA-878F-F842AB6F1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b. 1" sheetId="6" r:id="rId1"/>
    <sheet name="Prob. 2" sheetId="8" r:id="rId2"/>
    <sheet name="Prob. 3" sheetId="1" r:id="rId3"/>
    <sheet name="Prob. 4" sheetId="2" r:id="rId4"/>
    <sheet name="Prob. 5" sheetId="3" r:id="rId5"/>
    <sheet name="Prob. 6" sheetId="4" r:id="rId6"/>
    <sheet name="Prob. 7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3" i="3" s="1"/>
  <c r="E2" i="1"/>
  <c r="I3" i="6"/>
  <c r="I2" i="6"/>
  <c r="G3" i="6"/>
  <c r="G2" i="6"/>
  <c r="E3" i="6"/>
  <c r="E2" i="6"/>
  <c r="E4" i="6" s="1"/>
  <c r="E5" i="6" s="1"/>
  <c r="E6" i="6" s="1"/>
  <c r="C3" i="6"/>
  <c r="C4" i="6" s="1"/>
  <c r="C5" i="6" s="1"/>
  <c r="C2" i="6"/>
  <c r="A3" i="6"/>
  <c r="A2" i="6"/>
  <c r="B8" i="8"/>
  <c r="B10" i="8" s="1"/>
  <c r="A8" i="5"/>
  <c r="A5" i="5"/>
  <c r="F2" i="5"/>
  <c r="F5" i="5" s="1"/>
  <c r="A2" i="5"/>
  <c r="C3" i="4"/>
  <c r="D3" i="4" s="1"/>
  <c r="E2" i="2"/>
  <c r="E14" i="2"/>
  <c r="E11" i="2"/>
  <c r="E8" i="2"/>
  <c r="E5" i="2"/>
  <c r="E11" i="1"/>
  <c r="E14" i="1"/>
  <c r="E5" i="1"/>
  <c r="E8" i="1"/>
  <c r="A12" i="5" l="1"/>
  <c r="A15" i="5" s="1"/>
  <c r="A27" i="5" s="1"/>
  <c r="A30" i="5" s="1"/>
  <c r="I4" i="6"/>
  <c r="I5" i="6" s="1"/>
  <c r="I6" i="6" s="1"/>
  <c r="G4" i="6"/>
  <c r="G5" i="6" s="1"/>
  <c r="G6" i="6" s="1"/>
  <c r="A4" i="6"/>
  <c r="A5" i="6" s="1"/>
  <c r="F8" i="5"/>
  <c r="A18" i="5" s="1"/>
  <c r="E17" i="2"/>
  <c r="E20" i="2" s="1"/>
  <c r="G2" i="2"/>
  <c r="E17" i="1"/>
  <c r="E20" i="1" s="1"/>
  <c r="G2" i="1"/>
  <c r="A24" i="5" l="1"/>
  <c r="A21" i="5"/>
  <c r="A33" i="5" s="1"/>
</calcChain>
</file>

<file path=xl/sharedStrings.xml><?xml version="1.0" encoding="utf-8"?>
<sst xmlns="http://schemas.openxmlformats.org/spreadsheetml/2006/main" count="69" uniqueCount="52">
  <si>
    <t>Coupon Rate in Percentage</t>
  </si>
  <si>
    <t>YTM in Percentage</t>
  </si>
  <si>
    <t>Face Value in Currency</t>
  </si>
  <si>
    <t>Bond YTM</t>
  </si>
  <si>
    <t>Days till Next Coupon Payment</t>
  </si>
  <si>
    <t>Days in Current Coupon Period</t>
  </si>
  <si>
    <t>Accrued Interest Due</t>
  </si>
  <si>
    <t>Clean Bond Price</t>
  </si>
  <si>
    <t>Invoice Price</t>
  </si>
  <si>
    <t>Next Coupon Date</t>
  </si>
  <si>
    <t>Days since Last Coupon Payment</t>
  </si>
  <si>
    <t>Settlement Date</t>
  </si>
  <si>
    <t>Maturity Date</t>
  </si>
  <si>
    <t>Issue Date</t>
  </si>
  <si>
    <t>BEY</t>
  </si>
  <si>
    <t>Maturity (days)</t>
  </si>
  <si>
    <t>Price</t>
  </si>
  <si>
    <t>YDB</t>
  </si>
  <si>
    <t>Clean Purchase Price</t>
  </si>
  <si>
    <t>Face Value</t>
  </si>
  <si>
    <t>Days in Coupon Period</t>
  </si>
  <si>
    <t>Clean Sale Price</t>
  </si>
  <si>
    <t>Coupon Rate</t>
  </si>
  <si>
    <t>Days since Last Coupon Date at time of purchase</t>
  </si>
  <si>
    <t>Coupon Payment</t>
  </si>
  <si>
    <t>Days since Last Coupon Date at time of sale</t>
  </si>
  <si>
    <t>Accrued Interest at Purchase</t>
  </si>
  <si>
    <t>Settlement Date Purchase</t>
  </si>
  <si>
    <r>
      <t>A</t>
    </r>
    <r>
      <rPr>
        <sz val="12"/>
        <rFont val="Arial"/>
        <family val="2"/>
      </rPr>
      <t xml:space="preserve"> - Invoice Price at Purchase</t>
    </r>
  </si>
  <si>
    <t>Accrued Interest at Sale</t>
  </si>
  <si>
    <t>Settlement Date Sale</t>
  </si>
  <si>
    <r>
      <t>B</t>
    </r>
    <r>
      <rPr>
        <sz val="12"/>
        <rFont val="Arial"/>
        <family val="2"/>
      </rPr>
      <t xml:space="preserve"> - Invoice Price at Sale</t>
    </r>
  </si>
  <si>
    <t>Overnight Repo Rates</t>
  </si>
  <si>
    <r>
      <t>C</t>
    </r>
    <r>
      <rPr>
        <sz val="12"/>
        <rFont val="Arial"/>
        <family val="2"/>
      </rPr>
      <t xml:space="preserve"> - Interest Earned</t>
    </r>
  </si>
  <si>
    <t>Amount Borrowed</t>
  </si>
  <si>
    <t>Haircut</t>
  </si>
  <si>
    <r>
      <t>D</t>
    </r>
    <r>
      <rPr>
        <sz val="12"/>
        <rFont val="Arial"/>
        <family val="2"/>
      </rPr>
      <t xml:space="preserve"> - Interest Paid on Repo</t>
    </r>
  </si>
  <si>
    <r>
      <t>E</t>
    </r>
    <r>
      <rPr>
        <sz val="12"/>
        <rFont val="Arial"/>
        <family val="2"/>
      </rPr>
      <t xml:space="preserve"> - Net Gain or Loss</t>
    </r>
  </si>
  <si>
    <t>A</t>
  </si>
  <si>
    <t>B</t>
  </si>
  <si>
    <t>C</t>
  </si>
  <si>
    <t>D</t>
  </si>
  <si>
    <t>E</t>
  </si>
  <si>
    <t>Coup Rate</t>
  </si>
  <si>
    <t>Inflation 1</t>
  </si>
  <si>
    <t>Inflation 2</t>
  </si>
  <si>
    <t>Inflation 3</t>
  </si>
  <si>
    <t>Third Coupon</t>
  </si>
  <si>
    <t>Third Face Value</t>
  </si>
  <si>
    <t>10/10/2024</t>
  </si>
  <si>
    <t>12/15/2030</t>
  </si>
  <si>
    <t>5/15/2032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</si>
</sst>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0.0000%"/>
    <numFmt numFmtId="167" formatCode="0.0000"/>
    <numFmt numFmtId="168" formatCode="&quot;$&quot;#,##0"/>
    <numFmt numFmtId="169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49" fontId="0" fillId="0" borderId="0" xfId="0" applyNumberFormat="1"/>
    <xf numFmtId="10" fontId="0" fillId="0" borderId="0" xfId="0" applyNumberFormat="1"/>
    <xf numFmtId="164" fontId="0" fillId="0" borderId="0" xfId="0" applyNumberFormat="1"/>
    <xf numFmtId="49" fontId="2" fillId="0" borderId="0" xfId="0" applyNumberFormat="1" applyFont="1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49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4" fontId="4" fillId="0" borderId="0" xfId="0" applyNumberFormat="1" applyFont="1"/>
    <xf numFmtId="10" fontId="4" fillId="0" borderId="0" xfId="0" applyNumberFormat="1" applyFont="1"/>
    <xf numFmtId="8" fontId="4" fillId="0" borderId="0" xfId="0" applyNumberFormat="1" applyFont="1"/>
    <xf numFmtId="0" fontId="4" fillId="0" borderId="0" xfId="0" applyFont="1" applyAlignment="1">
      <alignment horizontal="center"/>
    </xf>
    <xf numFmtId="166" fontId="4" fillId="0" borderId="0" xfId="2" applyNumberFormat="1" applyFont="1"/>
    <xf numFmtId="0" fontId="5" fillId="0" borderId="0" xfId="0" applyFont="1"/>
    <xf numFmtId="167" fontId="5" fillId="0" borderId="0" xfId="0" applyNumberFormat="1" applyFont="1"/>
    <xf numFmtId="168" fontId="5" fillId="0" borderId="0" xfId="0" applyNumberFormat="1" applyFont="1"/>
    <xf numFmtId="10" fontId="5" fillId="0" borderId="0" xfId="0" applyNumberFormat="1" applyFont="1"/>
    <xf numFmtId="169" fontId="5" fillId="0" borderId="0" xfId="1" applyNumberFormat="1" applyFont="1"/>
    <xf numFmtId="164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8" fillId="0" borderId="0" xfId="3" applyFont="1" applyAlignment="1">
      <alignment horizontal="center"/>
    </xf>
    <xf numFmtId="0" fontId="7" fillId="0" borderId="0" xfId="3"/>
    <xf numFmtId="166" fontId="7" fillId="0" borderId="0" xfId="4" applyNumberFormat="1" applyFont="1"/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5" applyFont="1" applyAlignment="1">
      <alignment horizontal="center"/>
    </xf>
    <xf numFmtId="44" fontId="4" fillId="0" borderId="0" xfId="0" applyNumberFormat="1" applyFont="1" applyAlignment="1">
      <alignment horizontal="center"/>
    </xf>
  </cellXfs>
  <cellStyles count="6">
    <cellStyle name="Comma" xfId="1" builtinId="3"/>
    <cellStyle name="Currency" xfId="5" builtinId="4"/>
    <cellStyle name="Normal" xfId="0" builtinId="0"/>
    <cellStyle name="Normal 2" xfId="3" xr:uid="{D792A9F9-6C3F-42AC-87A2-EE60CE44120C}"/>
    <cellStyle name="Percent" xfId="2" builtinId="5"/>
    <cellStyle name="Percent 2" xfId="4" xr:uid="{6C0F7E4A-4544-4072-BAA0-488132E9D7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BD29-80A0-4F6F-B670-B54B628DEC9C}">
  <dimension ref="A1:I6"/>
  <sheetViews>
    <sheetView tabSelected="1" workbookViewId="0"/>
  </sheetViews>
  <sheetFormatPr defaultRowHeight="23.25" x14ac:dyDescent="0.35"/>
  <cols>
    <col min="1" max="1" width="26.7109375" style="10" customWidth="1"/>
    <col min="2" max="2" width="9.140625" style="10"/>
    <col min="3" max="3" width="19.7109375" style="10" customWidth="1"/>
    <col min="4" max="4" width="9.140625" style="10"/>
    <col min="5" max="5" width="21.42578125" style="10" customWidth="1"/>
    <col min="6" max="6" width="9.140625" style="10"/>
    <col min="7" max="7" width="21.28515625" style="10" customWidth="1"/>
    <col min="8" max="8" width="9.140625" style="10"/>
    <col min="9" max="9" width="21.7109375" style="10" customWidth="1"/>
    <col min="10" max="16384" width="9.140625" style="10"/>
  </cols>
  <sheetData>
    <row r="1" spans="1:9" ht="31.5" x14ac:dyDescent="0.5">
      <c r="A1" s="27" t="s">
        <v>38</v>
      </c>
      <c r="B1" s="27"/>
      <c r="C1" s="27" t="s">
        <v>39</v>
      </c>
      <c r="D1" s="27"/>
      <c r="E1" s="27" t="s">
        <v>40</v>
      </c>
      <c r="F1" s="27"/>
      <c r="G1" s="27" t="s">
        <v>41</v>
      </c>
      <c r="H1" s="27"/>
      <c r="I1" s="27" t="s">
        <v>42</v>
      </c>
    </row>
    <row r="2" spans="1:9" s="17" customFormat="1" ht="31.5" x14ac:dyDescent="0.5">
      <c r="A2" s="28">
        <f>1.02575^3</f>
        <v>1.0792562613593748</v>
      </c>
      <c r="B2" s="28"/>
      <c r="C2" s="28">
        <f>1.0245^5</f>
        <v>1.1286513715776638</v>
      </c>
      <c r="D2" s="28"/>
      <c r="E2" s="28">
        <f>1.02475^4</f>
        <v>1.1027363939203165</v>
      </c>
      <c r="F2" s="28"/>
      <c r="G2" s="28">
        <f>1.02425^6</f>
        <v>1.1546113855948688</v>
      </c>
      <c r="H2" s="28"/>
      <c r="I2" s="28">
        <f>1.02375^8</f>
        <v>1.2065666530009651</v>
      </c>
    </row>
    <row r="3" spans="1:9" ht="31.5" x14ac:dyDescent="0.5">
      <c r="A3" s="28">
        <f>1.0261^2</f>
        <v>1.05288121</v>
      </c>
      <c r="B3" s="28"/>
      <c r="C3" s="28">
        <f>1.02475^4</f>
        <v>1.1027363939203165</v>
      </c>
      <c r="D3" s="28"/>
      <c r="E3" s="28">
        <f>1.0261^2</f>
        <v>1.05288121</v>
      </c>
      <c r="F3" s="28"/>
      <c r="G3" s="28">
        <f>1.02475^4</f>
        <v>1.1027363939203165</v>
      </c>
      <c r="H3" s="28"/>
      <c r="I3" s="28">
        <f>1.02425^6</f>
        <v>1.1546113855948688</v>
      </c>
    </row>
    <row r="4" spans="1:9" ht="31.5" x14ac:dyDescent="0.5">
      <c r="A4" s="28">
        <f>A2/A3-1</f>
        <v>2.5050358111505133E-2</v>
      </c>
      <c r="B4" s="28"/>
      <c r="C4" s="28">
        <f>C2/C3-1</f>
        <v>2.3500609756079038E-2</v>
      </c>
      <c r="D4" s="28"/>
      <c r="E4" s="28">
        <f>E2/E3</f>
        <v>1.0473511954119843</v>
      </c>
      <c r="F4" s="28"/>
      <c r="G4" s="28">
        <f>G2/G3</f>
        <v>1.047042060061274</v>
      </c>
      <c r="H4" s="28"/>
      <c r="I4" s="28">
        <f>I2/I3</f>
        <v>1.0449980556698983</v>
      </c>
    </row>
    <row r="5" spans="1:9" ht="31.5" x14ac:dyDescent="0.5">
      <c r="A5" s="29">
        <f>A4*2</f>
        <v>5.0100716223010267E-2</v>
      </c>
      <c r="B5" s="28"/>
      <c r="C5" s="29">
        <f>C4*2</f>
        <v>4.7001219512158077E-2</v>
      </c>
      <c r="D5" s="28"/>
      <c r="E5" s="28">
        <f>SQRT(E4)-1</f>
        <v>2.3401776142676134E-2</v>
      </c>
      <c r="F5" s="28"/>
      <c r="G5" s="28">
        <f>SQRT(G4)-1</f>
        <v>2.3250731766791377E-2</v>
      </c>
      <c r="H5" s="28"/>
      <c r="I5" s="28">
        <f>SQRT(I4)-1</f>
        <v>2.2251464009662492E-2</v>
      </c>
    </row>
    <row r="6" spans="1:9" ht="31.5" x14ac:dyDescent="0.5">
      <c r="A6" s="28"/>
      <c r="B6" s="28"/>
      <c r="C6" s="28"/>
      <c r="D6" s="28"/>
      <c r="E6" s="29">
        <f>E5*2</f>
        <v>4.6803552285352268E-2</v>
      </c>
      <c r="F6" s="28"/>
      <c r="G6" s="29">
        <f>G5*2</f>
        <v>4.6501463533582754E-2</v>
      </c>
      <c r="H6" s="28"/>
      <c r="I6" s="29">
        <f>I5*2</f>
        <v>4.4502928019324983E-2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DF0A-D572-4A87-8AA7-22908545D48F}">
  <dimension ref="A1:B36"/>
  <sheetViews>
    <sheetView workbookViewId="0">
      <selection activeCell="B7" sqref="B7"/>
    </sheetView>
  </sheetViews>
  <sheetFormatPr defaultRowHeight="23.25" x14ac:dyDescent="0.35"/>
  <cols>
    <col min="1" max="1" width="30.85546875" style="17" customWidth="1"/>
    <col min="2" max="2" width="28.140625" style="17" customWidth="1"/>
    <col min="3" max="3" width="35.28515625" style="10" customWidth="1"/>
    <col min="4" max="4" width="18.42578125" style="10" customWidth="1"/>
    <col min="5" max="5" width="54.85546875" style="10" bestFit="1" customWidth="1"/>
    <col min="6" max="6" width="9.140625" style="10"/>
    <col min="7" max="7" width="18" style="10" bestFit="1" customWidth="1"/>
    <col min="8" max="16384" width="9.140625" style="10"/>
  </cols>
  <sheetData>
    <row r="1" spans="1:2" x14ac:dyDescent="0.35">
      <c r="A1" s="30"/>
    </row>
    <row r="2" spans="1:2" s="17" customFormat="1" x14ac:dyDescent="0.35">
      <c r="A2" s="17" t="s">
        <v>19</v>
      </c>
      <c r="B2" s="33">
        <v>100000</v>
      </c>
    </row>
    <row r="3" spans="1:2" x14ac:dyDescent="0.35">
      <c r="A3" s="17" t="s">
        <v>43</v>
      </c>
      <c r="B3" s="30">
        <v>3.2000000000000001E-2</v>
      </c>
    </row>
    <row r="4" spans="1:2" x14ac:dyDescent="0.35">
      <c r="A4" s="17" t="s">
        <v>44</v>
      </c>
      <c r="B4" s="30">
        <v>4.2000000000000003E-2</v>
      </c>
    </row>
    <row r="5" spans="1:2" x14ac:dyDescent="0.35">
      <c r="A5" s="31" t="s">
        <v>45</v>
      </c>
      <c r="B5" s="30">
        <v>3.5000000000000003E-2</v>
      </c>
    </row>
    <row r="6" spans="1:2" x14ac:dyDescent="0.35">
      <c r="A6" s="17" t="s">
        <v>46</v>
      </c>
      <c r="B6" s="30">
        <v>3.4000000000000002E-2</v>
      </c>
    </row>
    <row r="8" spans="1:2" x14ac:dyDescent="0.35">
      <c r="A8" s="17" t="s">
        <v>48</v>
      </c>
      <c r="B8" s="33">
        <f>B2*(1+B4/2)*(1+B5/2)*(1+B6/2)</f>
        <v>105652.82474999997</v>
      </c>
    </row>
    <row r="10" spans="1:2" x14ac:dyDescent="0.35">
      <c r="A10" s="17" t="s">
        <v>47</v>
      </c>
      <c r="B10" s="34">
        <f>B8*B3/2</f>
        <v>1690.4451959999997</v>
      </c>
    </row>
    <row r="21" spans="1:1" x14ac:dyDescent="0.35">
      <c r="A21" s="32"/>
    </row>
    <row r="27" spans="1:1" x14ac:dyDescent="0.35">
      <c r="A27" s="32"/>
    </row>
    <row r="28" spans="1:1" x14ac:dyDescent="0.35">
      <c r="A28" s="32"/>
    </row>
    <row r="29" spans="1:1" x14ac:dyDescent="0.35">
      <c r="A29" s="32"/>
    </row>
    <row r="30" spans="1:1" x14ac:dyDescent="0.35">
      <c r="A30" s="32"/>
    </row>
    <row r="31" spans="1:1" x14ac:dyDescent="0.35">
      <c r="A31" s="32"/>
    </row>
    <row r="32" spans="1:1" x14ac:dyDescent="0.35">
      <c r="A32" s="32"/>
    </row>
    <row r="33" spans="1:1" x14ac:dyDescent="0.35">
      <c r="A33" s="32"/>
    </row>
    <row r="34" spans="1:1" x14ac:dyDescent="0.35">
      <c r="A34" s="32"/>
    </row>
    <row r="35" spans="1:1" x14ac:dyDescent="0.35">
      <c r="A35" s="32"/>
    </row>
    <row r="36" spans="1:1" x14ac:dyDescent="0.35">
      <c r="A36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180" zoomScaleNormal="180" workbookViewId="0">
      <selection activeCell="E3" sqref="E3"/>
    </sheetView>
  </sheetViews>
  <sheetFormatPr defaultRowHeight="12.75" x14ac:dyDescent="0.2"/>
  <cols>
    <col min="1" max="1" width="10.85546875" customWidth="1"/>
    <col min="5" max="5" width="10.5703125" customWidth="1"/>
    <col min="7" max="7" width="10.85546875" customWidth="1"/>
  </cols>
  <sheetData>
    <row r="1" spans="1:9" x14ac:dyDescent="0.2">
      <c r="A1" s="5" t="s">
        <v>11</v>
      </c>
      <c r="E1" s="6" t="s">
        <v>7</v>
      </c>
      <c r="G1" t="s">
        <v>3</v>
      </c>
    </row>
    <row r="2" spans="1:9" x14ac:dyDescent="0.2">
      <c r="A2" s="5" t="s">
        <v>49</v>
      </c>
      <c r="E2" s="7">
        <f>98+13/32</f>
        <v>98.40625</v>
      </c>
      <c r="G2" s="8">
        <f>YIELD(A2,A5,A11,E2,A17,2,1)</f>
        <v>4.5476777379080069E-2</v>
      </c>
    </row>
    <row r="3" spans="1:9" x14ac:dyDescent="0.2">
      <c r="A3" s="2"/>
      <c r="E3" s="4"/>
    </row>
    <row r="4" spans="1:9" x14ac:dyDescent="0.2">
      <c r="A4" s="5" t="s">
        <v>12</v>
      </c>
      <c r="E4" s="6" t="s">
        <v>9</v>
      </c>
      <c r="I4" s="6"/>
    </row>
    <row r="5" spans="1:9" x14ac:dyDescent="0.2">
      <c r="A5" s="5" t="s">
        <v>50</v>
      </c>
      <c r="E5" s="1">
        <f>COUPNCD(A2,A5,2,1)</f>
        <v>45641</v>
      </c>
      <c r="I5" s="1"/>
    </row>
    <row r="6" spans="1:9" x14ac:dyDescent="0.2">
      <c r="A6" s="2"/>
    </row>
    <row r="7" spans="1:9" x14ac:dyDescent="0.2">
      <c r="A7" s="5" t="s">
        <v>13</v>
      </c>
      <c r="E7" s="6" t="s">
        <v>10</v>
      </c>
    </row>
    <row r="8" spans="1:9" x14ac:dyDescent="0.2">
      <c r="A8" s="5"/>
      <c r="E8">
        <f>COUPDAYBS(A2,A5,2,1)</f>
        <v>117</v>
      </c>
    </row>
    <row r="9" spans="1:9" x14ac:dyDescent="0.2">
      <c r="A9" s="2"/>
    </row>
    <row r="10" spans="1:9" x14ac:dyDescent="0.2">
      <c r="A10" s="2" t="s">
        <v>0</v>
      </c>
      <c r="E10" t="s">
        <v>4</v>
      </c>
    </row>
    <row r="11" spans="1:9" x14ac:dyDescent="0.2">
      <c r="A11" s="3">
        <v>4.2500000000000003E-2</v>
      </c>
      <c r="E11">
        <f>COUPDAYSNC(A2,A5,2,1)</f>
        <v>66</v>
      </c>
    </row>
    <row r="12" spans="1:9" x14ac:dyDescent="0.2">
      <c r="A12" s="3"/>
    </row>
    <row r="13" spans="1:9" x14ac:dyDescent="0.2">
      <c r="A13" s="2" t="s">
        <v>1</v>
      </c>
      <c r="E13" t="s">
        <v>5</v>
      </c>
    </row>
    <row r="14" spans="1:9" x14ac:dyDescent="0.2">
      <c r="A14" s="3"/>
      <c r="E14">
        <f>COUPDAYS(A2,A5,2,1)</f>
        <v>183</v>
      </c>
    </row>
    <row r="15" spans="1:9" x14ac:dyDescent="0.2">
      <c r="A15" s="3"/>
    </row>
    <row r="16" spans="1:9" x14ac:dyDescent="0.2">
      <c r="A16" s="3" t="s">
        <v>2</v>
      </c>
      <c r="E16" t="s">
        <v>6</v>
      </c>
    </row>
    <row r="17" spans="1:5" x14ac:dyDescent="0.2">
      <c r="A17" s="4">
        <v>100</v>
      </c>
      <c r="E17" s="7">
        <f>(E8/E14)*((A11/2)*A17)</f>
        <v>1.3586065573770494</v>
      </c>
    </row>
    <row r="18" spans="1:5" x14ac:dyDescent="0.2">
      <c r="A18" s="3"/>
    </row>
    <row r="19" spans="1:5" x14ac:dyDescent="0.2">
      <c r="A19" s="3"/>
      <c r="E19" s="6" t="s">
        <v>8</v>
      </c>
    </row>
    <row r="20" spans="1:5" x14ac:dyDescent="0.2">
      <c r="A20" s="3"/>
      <c r="E20" s="7">
        <f>E2+E17</f>
        <v>99.764856557377044</v>
      </c>
    </row>
    <row r="21" spans="1:5" x14ac:dyDescent="0.2">
      <c r="A21" s="2"/>
    </row>
    <row r="27" spans="1:5" x14ac:dyDescent="0.2">
      <c r="A27" s="2"/>
    </row>
    <row r="28" spans="1:5" x14ac:dyDescent="0.2">
      <c r="A28" s="2"/>
    </row>
    <row r="29" spans="1:5" x14ac:dyDescent="0.2">
      <c r="A29" s="2"/>
    </row>
    <row r="30" spans="1:5" x14ac:dyDescent="0.2">
      <c r="A30" s="2"/>
    </row>
    <row r="31" spans="1:5" x14ac:dyDescent="0.2">
      <c r="A31" s="2"/>
    </row>
    <row r="32" spans="1:5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</sheetData>
  <phoneticPr fontId="1" type="noConversion"/>
  <pageMargins left="0.75" right="0.75" top="1" bottom="1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>
      <selection activeCell="A6" sqref="A6"/>
    </sheetView>
  </sheetViews>
  <sheetFormatPr defaultRowHeight="23.25" x14ac:dyDescent="0.35"/>
  <cols>
    <col min="1" max="1" width="32.42578125" style="10" customWidth="1"/>
    <col min="2" max="4" width="9.140625" style="10"/>
    <col min="5" max="5" width="54.85546875" style="10" bestFit="1" customWidth="1"/>
    <col min="6" max="6" width="9.140625" style="10"/>
    <col min="7" max="7" width="18" style="10" bestFit="1" customWidth="1"/>
    <col min="8" max="16384" width="9.140625" style="10"/>
  </cols>
  <sheetData>
    <row r="1" spans="1:9" x14ac:dyDescent="0.35">
      <c r="A1" s="9" t="s">
        <v>11</v>
      </c>
      <c r="E1" s="10" t="s">
        <v>7</v>
      </c>
      <c r="G1" s="10" t="s">
        <v>3</v>
      </c>
    </row>
    <row r="2" spans="1:9" x14ac:dyDescent="0.35">
      <c r="A2" s="9" t="s">
        <v>49</v>
      </c>
      <c r="E2" s="11">
        <f>72.2</f>
        <v>72.2</v>
      </c>
      <c r="G2" s="12">
        <f>YIELD(A2,A5,A11,E2,A17,2,1)</f>
        <v>4.3334284025487467E-2</v>
      </c>
    </row>
    <row r="3" spans="1:9" x14ac:dyDescent="0.35">
      <c r="A3" s="9"/>
      <c r="E3" s="13"/>
    </row>
    <row r="4" spans="1:9" x14ac:dyDescent="0.35">
      <c r="A4" s="9" t="s">
        <v>12</v>
      </c>
      <c r="E4" s="10" t="s">
        <v>9</v>
      </c>
    </row>
    <row r="5" spans="1:9" x14ac:dyDescent="0.35">
      <c r="A5" s="9" t="s">
        <v>51</v>
      </c>
      <c r="E5" s="14">
        <f>COUPNCD(A2,A5,2,1)</f>
        <v>45611</v>
      </c>
      <c r="I5" s="14"/>
    </row>
    <row r="6" spans="1:9" x14ac:dyDescent="0.35">
      <c r="A6" s="9"/>
    </row>
    <row r="7" spans="1:9" x14ac:dyDescent="0.35">
      <c r="A7" s="9" t="s">
        <v>13</v>
      </c>
      <c r="E7" s="10" t="s">
        <v>10</v>
      </c>
    </row>
    <row r="8" spans="1:9" x14ac:dyDescent="0.35">
      <c r="A8" s="9"/>
      <c r="E8" s="10">
        <f>COUPDAYBS(A2,A5,2,1)</f>
        <v>148</v>
      </c>
    </row>
    <row r="9" spans="1:9" x14ac:dyDescent="0.35">
      <c r="A9" s="9"/>
    </row>
    <row r="10" spans="1:9" x14ac:dyDescent="0.35">
      <c r="A10" s="9" t="s">
        <v>0</v>
      </c>
      <c r="E10" s="10" t="s">
        <v>4</v>
      </c>
    </row>
    <row r="11" spans="1:9" x14ac:dyDescent="0.35">
      <c r="A11" s="15">
        <v>0</v>
      </c>
      <c r="E11" s="10">
        <f>COUPDAYSNC(A2,A5,2,1)</f>
        <v>36</v>
      </c>
    </row>
    <row r="12" spans="1:9" x14ac:dyDescent="0.35">
      <c r="A12" s="15"/>
    </row>
    <row r="13" spans="1:9" x14ac:dyDescent="0.35">
      <c r="A13" s="9" t="s">
        <v>1</v>
      </c>
      <c r="E13" s="10" t="s">
        <v>5</v>
      </c>
    </row>
    <row r="14" spans="1:9" x14ac:dyDescent="0.35">
      <c r="A14" s="15"/>
      <c r="E14" s="10">
        <f>COUPDAYS(A2,A5,2,1)</f>
        <v>184</v>
      </c>
    </row>
    <row r="15" spans="1:9" x14ac:dyDescent="0.35">
      <c r="A15" s="15"/>
    </row>
    <row r="16" spans="1:9" x14ac:dyDescent="0.35">
      <c r="A16" s="15" t="s">
        <v>2</v>
      </c>
      <c r="E16" s="10" t="s">
        <v>6</v>
      </c>
    </row>
    <row r="17" spans="1:5" x14ac:dyDescent="0.35">
      <c r="A17" s="13">
        <v>100</v>
      </c>
      <c r="E17" s="11">
        <f>(E8/E14)*((A11/2)*A17)</f>
        <v>0</v>
      </c>
    </row>
    <row r="18" spans="1:5" x14ac:dyDescent="0.35">
      <c r="A18" s="15"/>
    </row>
    <row r="19" spans="1:5" x14ac:dyDescent="0.35">
      <c r="A19" s="15"/>
      <c r="E19" s="10" t="s">
        <v>8</v>
      </c>
    </row>
    <row r="20" spans="1:5" x14ac:dyDescent="0.35">
      <c r="A20" s="15"/>
      <c r="E20" s="11">
        <f>E2+E17</f>
        <v>72.2</v>
      </c>
    </row>
    <row r="21" spans="1:5" x14ac:dyDescent="0.35">
      <c r="A21" s="9"/>
    </row>
    <row r="27" spans="1:5" x14ac:dyDescent="0.35">
      <c r="A27" s="9"/>
    </row>
    <row r="28" spans="1:5" x14ac:dyDescent="0.35">
      <c r="A28" s="9"/>
    </row>
    <row r="29" spans="1:5" x14ac:dyDescent="0.35">
      <c r="A29" s="9"/>
    </row>
    <row r="30" spans="1:5" x14ac:dyDescent="0.35">
      <c r="A30" s="9"/>
    </row>
    <row r="31" spans="1:5" x14ac:dyDescent="0.35">
      <c r="A31" s="9"/>
    </row>
    <row r="32" spans="1:5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6"/>
  <sheetViews>
    <sheetView workbookViewId="0"/>
  </sheetViews>
  <sheetFormatPr defaultRowHeight="23.25" x14ac:dyDescent="0.35"/>
  <cols>
    <col min="1" max="1" width="32.42578125" style="10" customWidth="1"/>
    <col min="2" max="4" width="9.140625" style="10"/>
    <col min="5" max="5" width="54.85546875" style="10" bestFit="1" customWidth="1"/>
    <col min="6" max="6" width="9.140625" style="10"/>
    <col min="7" max="7" width="18" style="10" bestFit="1" customWidth="1"/>
    <col min="8" max="16384" width="9.140625" style="10"/>
  </cols>
  <sheetData>
    <row r="1" spans="1:1" x14ac:dyDescent="0.35">
      <c r="A1" s="15">
        <f>RATE(16,-4.4/2,97+2/32,-100)</f>
        <v>2.4236752048914754E-2</v>
      </c>
    </row>
    <row r="3" spans="1:1" x14ac:dyDescent="0.35">
      <c r="A3" s="16">
        <f>PV(A1,8*2,,-100)</f>
        <v>68.170160305038436</v>
      </c>
    </row>
    <row r="5" spans="1:1" x14ac:dyDescent="0.35">
      <c r="A5" s="14"/>
    </row>
    <row r="21" spans="1:1" x14ac:dyDescent="0.35">
      <c r="A21" s="9"/>
    </row>
    <row r="27" spans="1:1" x14ac:dyDescent="0.35">
      <c r="A27" s="9"/>
    </row>
    <row r="28" spans="1:1" x14ac:dyDescent="0.35">
      <c r="A28" s="9"/>
    </row>
    <row r="29" spans="1:1" x14ac:dyDescent="0.35">
      <c r="A29" s="9"/>
    </row>
    <row r="30" spans="1:1" x14ac:dyDescent="0.35">
      <c r="A30" s="9"/>
    </row>
    <row r="31" spans="1:1" x14ac:dyDescent="0.35">
      <c r="A31" s="9"/>
    </row>
    <row r="32" spans="1:1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00BC-7DF8-479D-B578-C28EA9771B5F}">
  <dimension ref="A1:D36"/>
  <sheetViews>
    <sheetView workbookViewId="0">
      <selection activeCell="A4" sqref="A4"/>
    </sheetView>
  </sheetViews>
  <sheetFormatPr defaultRowHeight="23.25" x14ac:dyDescent="0.35"/>
  <cols>
    <col min="1" max="1" width="23.5703125" style="10" customWidth="1"/>
    <col min="2" max="2" width="37.140625" style="10" customWidth="1"/>
    <col min="3" max="3" width="35.28515625" style="10" customWidth="1"/>
    <col min="4" max="4" width="18.42578125" style="10" customWidth="1"/>
    <col min="5" max="5" width="54.85546875" style="10" bestFit="1" customWidth="1"/>
    <col min="6" max="6" width="9.140625" style="10"/>
    <col min="7" max="7" width="18" style="10" bestFit="1" customWidth="1"/>
    <col min="8" max="16384" width="9.140625" style="10"/>
  </cols>
  <sheetData>
    <row r="1" spans="1:4" x14ac:dyDescent="0.35">
      <c r="A1" s="15"/>
    </row>
    <row r="2" spans="1:4" s="17" customFormat="1" x14ac:dyDescent="0.35">
      <c r="A2" s="17" t="s">
        <v>14</v>
      </c>
      <c r="B2" s="17" t="s">
        <v>15</v>
      </c>
      <c r="C2" s="17" t="s">
        <v>16</v>
      </c>
      <c r="D2" s="17" t="s">
        <v>17</v>
      </c>
    </row>
    <row r="3" spans="1:4" x14ac:dyDescent="0.35">
      <c r="A3" s="15">
        <v>5.5E-2</v>
      </c>
      <c r="B3" s="10">
        <v>100</v>
      </c>
      <c r="C3" s="10">
        <f>100/(A3*B3/365+1)</f>
        <v>98.515519568151134</v>
      </c>
      <c r="D3" s="18">
        <f>(100-C3)/100*(360/B3)</f>
        <v>5.3441295546559159E-2</v>
      </c>
    </row>
    <row r="5" spans="1:4" x14ac:dyDescent="0.35">
      <c r="A5" s="14"/>
    </row>
    <row r="21" spans="1:1" x14ac:dyDescent="0.35">
      <c r="A21" s="9"/>
    </row>
    <row r="27" spans="1:1" x14ac:dyDescent="0.35">
      <c r="A27" s="9"/>
    </row>
    <row r="28" spans="1:1" x14ac:dyDescent="0.35">
      <c r="A28" s="9"/>
    </row>
    <row r="29" spans="1:1" x14ac:dyDescent="0.35">
      <c r="A29" s="9"/>
    </row>
    <row r="30" spans="1:1" x14ac:dyDescent="0.35">
      <c r="A30" s="9"/>
    </row>
    <row r="31" spans="1:1" x14ac:dyDescent="0.35">
      <c r="A31" s="9"/>
    </row>
    <row r="32" spans="1:1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D85C-7603-4567-9C3C-0DFB3E83AF03}">
  <dimension ref="A1:K33"/>
  <sheetViews>
    <sheetView zoomScale="120" zoomScaleNormal="120" workbookViewId="0">
      <selection activeCell="A2" sqref="A2"/>
    </sheetView>
  </sheetViews>
  <sheetFormatPr defaultRowHeight="12.75" x14ac:dyDescent="0.2"/>
  <cols>
    <col min="1" max="1" width="30.5703125" bestFit="1" customWidth="1"/>
    <col min="4" max="4" width="27.85546875" bestFit="1" customWidth="1"/>
  </cols>
  <sheetData>
    <row r="1" spans="1:11" ht="15" x14ac:dyDescent="0.2">
      <c r="A1" s="19" t="s">
        <v>18</v>
      </c>
      <c r="B1" s="19"/>
      <c r="C1" s="19"/>
      <c r="D1" s="19" t="s">
        <v>19</v>
      </c>
      <c r="E1" s="19"/>
      <c r="F1" s="19" t="s">
        <v>20</v>
      </c>
      <c r="G1" s="19"/>
      <c r="H1" s="19"/>
      <c r="I1" s="19"/>
      <c r="J1" s="19"/>
      <c r="K1" s="19"/>
    </row>
    <row r="2" spans="1:11" ht="15" x14ac:dyDescent="0.2">
      <c r="A2" s="20">
        <f>101+(18/32)</f>
        <v>101.5625</v>
      </c>
      <c r="B2" s="19"/>
      <c r="C2" s="19"/>
      <c r="D2" s="21">
        <v>100000000</v>
      </c>
      <c r="E2" s="19"/>
      <c r="F2" s="19">
        <f>COUPDAYS(D12,D15,2,1)</f>
        <v>184</v>
      </c>
      <c r="G2" s="19"/>
      <c r="H2" s="19"/>
      <c r="I2" s="19"/>
      <c r="J2" s="19"/>
      <c r="K2" s="19"/>
    </row>
    <row r="3" spans="1:11" ht="1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x14ac:dyDescent="0.2">
      <c r="A4" s="19" t="s">
        <v>21</v>
      </c>
      <c r="B4" s="19"/>
      <c r="C4" s="19"/>
      <c r="D4" s="19" t="s">
        <v>22</v>
      </c>
      <c r="E4" s="19"/>
      <c r="F4" s="19" t="s">
        <v>23</v>
      </c>
      <c r="G4" s="19"/>
      <c r="H4" s="19"/>
      <c r="I4" s="19"/>
      <c r="J4" s="19"/>
      <c r="K4" s="19"/>
    </row>
    <row r="5" spans="1:11" ht="15" x14ac:dyDescent="0.2">
      <c r="A5" s="19">
        <f>101+(25/32)</f>
        <v>101.78125</v>
      </c>
      <c r="B5" s="19"/>
      <c r="C5" s="19"/>
      <c r="D5" s="22">
        <v>5.5E-2</v>
      </c>
      <c r="E5" s="19"/>
      <c r="F5" s="23">
        <f>F2-COUPDAYSNC(D12,D15,2,1)</f>
        <v>145</v>
      </c>
      <c r="G5" s="23"/>
      <c r="H5" s="19"/>
      <c r="I5" s="19"/>
      <c r="J5" s="19"/>
      <c r="K5" s="19"/>
    </row>
    <row r="6" spans="1:11" ht="1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" x14ac:dyDescent="0.2">
      <c r="A7" s="19" t="s">
        <v>24</v>
      </c>
      <c r="B7" s="19"/>
      <c r="C7" s="19"/>
      <c r="D7" s="19"/>
      <c r="E7" s="19"/>
      <c r="F7" s="19" t="s">
        <v>25</v>
      </c>
      <c r="G7" s="19"/>
      <c r="H7" s="19"/>
      <c r="I7" s="19"/>
      <c r="J7" s="19"/>
      <c r="K7" s="19"/>
    </row>
    <row r="8" spans="1:11" ht="15" x14ac:dyDescent="0.2">
      <c r="A8" s="19">
        <f>D5/2</f>
        <v>2.75E-2</v>
      </c>
      <c r="B8" s="19"/>
      <c r="C8" s="19"/>
      <c r="D8" s="19"/>
      <c r="E8" s="19"/>
      <c r="F8" s="23">
        <f>F2-COUPDAYSNC(D18,D15,2,1)</f>
        <v>149</v>
      </c>
      <c r="G8" s="23"/>
      <c r="H8" s="19"/>
      <c r="I8" s="19"/>
      <c r="J8" s="19"/>
      <c r="K8" s="19"/>
    </row>
    <row r="9" spans="1:11" ht="15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5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5" x14ac:dyDescent="0.2">
      <c r="A11" s="19" t="s">
        <v>26</v>
      </c>
      <c r="B11" s="19"/>
      <c r="C11" s="19"/>
      <c r="D11" s="19" t="s">
        <v>27</v>
      </c>
      <c r="E11" s="19"/>
      <c r="F11" s="19"/>
      <c r="G11" s="19"/>
      <c r="H11" s="19"/>
      <c r="I11" s="19"/>
      <c r="J11" s="19"/>
      <c r="K11" s="19"/>
    </row>
    <row r="12" spans="1:11" ht="15" x14ac:dyDescent="0.2">
      <c r="A12" s="24">
        <f>((F5/F2)*A8*D2)</f>
        <v>2167119.5652173911</v>
      </c>
      <c r="B12" s="19"/>
      <c r="C12" s="19"/>
      <c r="D12" s="25">
        <v>45572</v>
      </c>
      <c r="E12" s="19"/>
      <c r="F12" s="19"/>
      <c r="G12" s="19"/>
      <c r="H12" s="19"/>
      <c r="I12" s="19"/>
      <c r="J12" s="19"/>
      <c r="K12" s="19"/>
    </row>
    <row r="13" spans="1:11" ht="1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5.75" x14ac:dyDescent="0.25">
      <c r="A14" s="26" t="s">
        <v>28</v>
      </c>
      <c r="B14" s="19"/>
      <c r="C14" s="19"/>
      <c r="D14" s="19" t="s">
        <v>12</v>
      </c>
      <c r="E14" s="19"/>
      <c r="F14" s="19"/>
      <c r="G14" s="19"/>
      <c r="H14" s="19"/>
      <c r="I14" s="19"/>
      <c r="J14" s="19"/>
      <c r="K14" s="19"/>
    </row>
    <row r="15" spans="1:11" ht="15" x14ac:dyDescent="0.2">
      <c r="A15" s="24">
        <f>((A2/100)*D2)+A12</f>
        <v>103729619.56521739</v>
      </c>
      <c r="B15" s="19"/>
      <c r="C15" s="19"/>
      <c r="D15" s="25">
        <v>47618</v>
      </c>
      <c r="E15" s="19"/>
      <c r="F15" s="19"/>
      <c r="G15" s="19"/>
      <c r="H15" s="19"/>
      <c r="I15" s="19"/>
      <c r="J15" s="19"/>
      <c r="K15" s="19"/>
    </row>
    <row r="16" spans="1:11" ht="15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5" x14ac:dyDescent="0.2">
      <c r="A17" s="19" t="s">
        <v>29</v>
      </c>
      <c r="B17" s="19"/>
      <c r="C17" s="19"/>
      <c r="D17" s="19" t="s">
        <v>30</v>
      </c>
      <c r="E17" s="19"/>
      <c r="F17" s="19"/>
      <c r="G17" s="19"/>
      <c r="H17" s="19"/>
      <c r="I17" s="19"/>
      <c r="J17" s="19"/>
      <c r="K17" s="19"/>
    </row>
    <row r="18" spans="1:11" ht="15" x14ac:dyDescent="0.2">
      <c r="A18" s="24">
        <f>((F8/F2)*A8*D2)</f>
        <v>2226902.1739130439</v>
      </c>
      <c r="B18" s="19"/>
      <c r="C18" s="19"/>
      <c r="D18" s="25">
        <v>45576</v>
      </c>
      <c r="E18" s="19"/>
      <c r="F18" s="19"/>
      <c r="G18" s="19"/>
      <c r="H18" s="19"/>
      <c r="I18" s="19"/>
      <c r="J18" s="19"/>
      <c r="K18" s="19"/>
    </row>
    <row r="19" spans="1:11" ht="15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5.75" x14ac:dyDescent="0.25">
      <c r="A20" s="26" t="s">
        <v>31</v>
      </c>
      <c r="B20" s="19"/>
      <c r="C20" s="19"/>
      <c r="D20" s="19" t="s">
        <v>32</v>
      </c>
      <c r="E20" s="19"/>
      <c r="F20" s="19"/>
      <c r="G20" s="19"/>
      <c r="H20" s="19"/>
      <c r="I20" s="19"/>
      <c r="J20" s="19"/>
      <c r="K20" s="19"/>
    </row>
    <row r="21" spans="1:11" ht="15" x14ac:dyDescent="0.2">
      <c r="A21" s="24">
        <f>((A5/100)*D2)+A18</f>
        <v>104008152.17391305</v>
      </c>
      <c r="B21" s="19"/>
      <c r="C21" s="19"/>
      <c r="D21" s="22">
        <v>5.2999999999999999E-2</v>
      </c>
      <c r="E21" s="19"/>
      <c r="F21" s="19"/>
      <c r="G21" s="19"/>
      <c r="H21" s="19"/>
      <c r="I21" s="19"/>
      <c r="J21" s="19"/>
      <c r="K21" s="19"/>
    </row>
    <row r="22" spans="1:11" ht="15" x14ac:dyDescent="0.2">
      <c r="A22" s="19"/>
      <c r="B22" s="19"/>
      <c r="C22" s="19"/>
      <c r="D22" s="22">
        <v>5.3100000000000001E-2</v>
      </c>
      <c r="E22" s="19"/>
      <c r="F22" s="19"/>
      <c r="G22" s="19"/>
      <c r="H22" s="19"/>
      <c r="I22" s="19"/>
      <c r="J22" s="19"/>
      <c r="K22" s="19"/>
    </row>
    <row r="23" spans="1:11" ht="15.75" x14ac:dyDescent="0.25">
      <c r="A23" s="26" t="s">
        <v>33</v>
      </c>
      <c r="B23" s="19"/>
      <c r="C23" s="19"/>
      <c r="D23" s="22">
        <v>5.3199999999999997E-2</v>
      </c>
      <c r="E23" s="19"/>
      <c r="F23" s="19"/>
      <c r="G23" s="19"/>
      <c r="H23" s="19"/>
      <c r="I23" s="19"/>
      <c r="J23" s="19"/>
      <c r="K23" s="19"/>
    </row>
    <row r="24" spans="1:11" ht="15" x14ac:dyDescent="0.2">
      <c r="A24" s="24">
        <f>A18-A12</f>
        <v>59782.608695652802</v>
      </c>
      <c r="B24" s="19"/>
      <c r="C24" s="19"/>
      <c r="D24" s="22">
        <v>5.33E-2</v>
      </c>
      <c r="E24" s="19"/>
      <c r="F24" s="19"/>
      <c r="G24" s="19"/>
      <c r="H24" s="19"/>
      <c r="I24" s="19"/>
      <c r="J24" s="19"/>
      <c r="K24" s="19"/>
    </row>
    <row r="25" spans="1:11" ht="15" x14ac:dyDescent="0.2">
      <c r="A25" s="24"/>
      <c r="B25" s="19"/>
      <c r="C25" s="19"/>
      <c r="D25" s="22">
        <v>5.3400000000000003E-2</v>
      </c>
      <c r="E25" s="19"/>
      <c r="F25" s="19"/>
      <c r="G25" s="19"/>
      <c r="H25" s="19"/>
      <c r="I25" s="19"/>
      <c r="J25" s="19"/>
      <c r="K25" s="19"/>
    </row>
    <row r="26" spans="1:11" ht="15" x14ac:dyDescent="0.2">
      <c r="A26" s="24" t="s">
        <v>34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5" x14ac:dyDescent="0.2">
      <c r="A27" s="24">
        <f>(A15)-(D28*A15)</f>
        <v>103210971.4673913</v>
      </c>
      <c r="B27" s="19"/>
      <c r="C27" s="19"/>
      <c r="D27" s="19" t="s">
        <v>35</v>
      </c>
      <c r="E27" s="19"/>
      <c r="F27" s="19"/>
      <c r="G27" s="19"/>
      <c r="H27" s="19"/>
      <c r="I27" s="19"/>
      <c r="J27" s="19"/>
      <c r="K27" s="19"/>
    </row>
    <row r="28" spans="1:11" ht="15" x14ac:dyDescent="0.2">
      <c r="A28" s="19"/>
      <c r="B28" s="19"/>
      <c r="C28" s="19"/>
      <c r="D28" s="22">
        <v>5.0000000000000001E-3</v>
      </c>
      <c r="E28" s="19"/>
      <c r="F28" s="19"/>
      <c r="G28" s="19"/>
      <c r="H28" s="19"/>
      <c r="I28" s="19"/>
      <c r="J28" s="19"/>
      <c r="K28" s="19"/>
    </row>
    <row r="29" spans="1:11" ht="15.75" x14ac:dyDescent="0.25">
      <c r="A29" s="26" t="s">
        <v>36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ht="15" x14ac:dyDescent="0.2">
      <c r="A30" s="24">
        <f>(A27)*(1+(D21/360))*(1+(D22/360))*(1+(D23/360))*(1+(D24/360))-A27</f>
        <v>60965.312189906836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15" x14ac:dyDescent="0.2">
      <c r="A31" s="19"/>
      <c r="B31" s="19"/>
      <c r="C31" s="19"/>
      <c r="D31" s="24"/>
      <c r="E31" s="19"/>
      <c r="F31" s="19"/>
      <c r="G31" s="19"/>
      <c r="H31" s="19"/>
      <c r="I31" s="19"/>
      <c r="J31" s="19"/>
      <c r="K31" s="19"/>
    </row>
    <row r="32" spans="1:11" ht="15.75" x14ac:dyDescent="0.25">
      <c r="A32" s="26" t="s">
        <v>37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ht="15" x14ac:dyDescent="0.2">
      <c r="A33" s="24">
        <f>A21-A15-A30</f>
        <v>217567.29650574923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Prob. 1</vt:lpstr>
      <vt:lpstr>Prob. 2</vt:lpstr>
      <vt:lpstr>Prob. 3</vt:lpstr>
      <vt:lpstr>Prob. 4</vt:lpstr>
      <vt:lpstr>Prob. 5</vt:lpstr>
      <vt:lpstr>Prob. 6</vt:lpstr>
      <vt:lpstr>Prob. 7</vt:lpstr>
    </vt:vector>
  </TitlesOfParts>
  <Company>Freeman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 School of Business</dc:creator>
  <cp:lastModifiedBy>Reese, William A</cp:lastModifiedBy>
  <cp:lastPrinted>2009-01-19T18:00:42Z</cp:lastPrinted>
  <dcterms:created xsi:type="dcterms:W3CDTF">2005-08-25T19:57:17Z</dcterms:created>
  <dcterms:modified xsi:type="dcterms:W3CDTF">2024-04-25T21:01:45Z</dcterms:modified>
</cp:coreProperties>
</file>